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AppData\Local\Invincea\Enterprise\Transfers\f0301ea1-7b01-4e4e-af8d-05273259f967\"/>
    </mc:Choice>
  </mc:AlternateContent>
  <bookViews>
    <workbookView xWindow="13995" yWindow="0" windowWidth="36585" windowHeight="24645" tabRatio="566" firstSheet="2" activeTab="4"/>
  </bookViews>
  <sheets>
    <sheet name="ALCC BUDGET X PARTNER CAT" sheetId="26" r:id="rId1"/>
    <sheet name="WMI-ALCC BUDGET X CATEGORY" sheetId="27" r:id="rId2"/>
    <sheet name="LCC-NetworkCategories" sheetId="28" r:id="rId3"/>
    <sheet name="AppLCCCategories" sheetId="29" r:id="rId4"/>
    <sheet name="AppLCC DATA" sheetId="25" r:id="rId5"/>
  </sheets>
  <definedNames>
    <definedName name="_xlnm.Print_Area" localSheetId="4">'AppLCC DATA'!$A:$K</definedName>
  </definedNames>
  <calcPr calcId="152511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25" l="1"/>
  <c r="G59" i="25"/>
  <c r="G64" i="25"/>
  <c r="G45" i="25"/>
  <c r="G46" i="25"/>
  <c r="G51" i="25"/>
  <c r="G50" i="25"/>
  <c r="G56" i="25"/>
  <c r="E28" i="25"/>
  <c r="I28" i="25"/>
  <c r="K27" i="25"/>
  <c r="K26" i="25"/>
  <c r="K25" i="25"/>
  <c r="H19" i="25"/>
  <c r="J18" i="25"/>
  <c r="H17" i="25"/>
  <c r="E12" i="25"/>
  <c r="H12" i="25"/>
  <c r="E11" i="25"/>
  <c r="J11" i="25"/>
  <c r="E15" i="25"/>
  <c r="H15" i="25"/>
  <c r="E14" i="25"/>
  <c r="G14" i="25"/>
  <c r="E24" i="25"/>
  <c r="H24" i="25"/>
  <c r="E23" i="25"/>
  <c r="H23" i="25"/>
  <c r="E22" i="25"/>
  <c r="H22" i="25"/>
  <c r="E13" i="25"/>
  <c r="H13" i="25"/>
  <c r="E10" i="25"/>
  <c r="I10" i="25"/>
  <c r="E9" i="25"/>
  <c r="J9" i="25"/>
  <c r="E8" i="25"/>
  <c r="G8" i="25"/>
  <c r="E7" i="25"/>
  <c r="G7" i="25"/>
  <c r="E6" i="25"/>
  <c r="G6" i="25"/>
  <c r="E5" i="25"/>
  <c r="G5" i="25"/>
  <c r="I30" i="25"/>
  <c r="G30" i="25"/>
  <c r="B33" i="25"/>
  <c r="H30" i="25"/>
  <c r="J30" i="25"/>
  <c r="B34" i="25"/>
  <c r="E20" i="25"/>
  <c r="K20" i="25"/>
  <c r="E21" i="25"/>
  <c r="K21" i="25"/>
  <c r="K30" i="25"/>
  <c r="B35" i="25"/>
  <c r="B36" i="25"/>
  <c r="E29" i="25"/>
  <c r="G33" i="25"/>
  <c r="B37" i="25"/>
</calcChain>
</file>

<file path=xl/sharedStrings.xml><?xml version="1.0" encoding="utf-8"?>
<sst xmlns="http://schemas.openxmlformats.org/spreadsheetml/2006/main" count="264" uniqueCount="139">
  <si>
    <t>NATURESERVE</t>
  </si>
  <si>
    <t>BUDGET</t>
  </si>
  <si>
    <t>WMI</t>
  </si>
  <si>
    <t>CLEMSON</t>
  </si>
  <si>
    <t>NGO</t>
  </si>
  <si>
    <t>ACADEMIA</t>
  </si>
  <si>
    <t>VULNERABILITY ASSESSMENTS</t>
  </si>
  <si>
    <t>CONSERVATION PLANNING</t>
  </si>
  <si>
    <t>INFORMING CONSERVATION DELIVERY</t>
  </si>
  <si>
    <t>DATA MANAGEMENT</t>
  </si>
  <si>
    <t>DATA ACQUISITION</t>
  </si>
  <si>
    <t>PARTNER CATEGORY</t>
  </si>
  <si>
    <t>PARTNER NAME</t>
  </si>
  <si>
    <t>ASSISTANCE TYPE</t>
  </si>
  <si>
    <t>Row Labels</t>
  </si>
  <si>
    <t>Grand Total</t>
  </si>
  <si>
    <t>Sum of BUDGET</t>
  </si>
  <si>
    <t>Values</t>
  </si>
  <si>
    <t>Count of BUDGET2</t>
  </si>
  <si>
    <t>2013-03 USFS RIPARIAN ASSESSMENT</t>
  </si>
  <si>
    <t>2013-01 DATA NEEDS ASSESSMENT (CLEMSON)</t>
  </si>
  <si>
    <t>2012-04 LAND USE AND CLIMATE (NATURESERVE)</t>
  </si>
  <si>
    <t>2012-03 HYDROLOGICAL MONITORING (CORNELL)</t>
  </si>
  <si>
    <t>2012-02 ENERGY EXTRACTION (TNC VA)</t>
  </si>
  <si>
    <t>2012-01 STREAM CLASSIFICATION (TNC BOSTON)</t>
  </si>
  <si>
    <t>CORNELL</t>
  </si>
  <si>
    <t>USFS</t>
  </si>
  <si>
    <t>AMERICAN UNIV</t>
  </si>
  <si>
    <t>FEDERAL</t>
  </si>
  <si>
    <t>Total</t>
  </si>
  <si>
    <t>Monitoring</t>
  </si>
  <si>
    <t>Population and Habitat Evaluation/Projection</t>
  </si>
  <si>
    <t>DATA MANAGEMENT and Integration</t>
  </si>
  <si>
    <t>DATA ACQUISITION &amp; Development</t>
  </si>
  <si>
    <t>Socio-Economics</t>
  </si>
  <si>
    <t>Ecosystem Services</t>
  </si>
  <si>
    <t>Traditional (Local) Ecological Knowledge</t>
  </si>
  <si>
    <t>Decision Support</t>
  </si>
  <si>
    <t>Conservation Design [incl. Foundational Research; model projections (non Popl, non habitat); ]</t>
  </si>
  <si>
    <t>RESEARCH</t>
  </si>
  <si>
    <t>PLANNING</t>
  </si>
  <si>
    <t>DESIGN</t>
  </si>
  <si>
    <t>DELIVERY</t>
  </si>
  <si>
    <t xml:space="preserve">[FOUNDATIONAL] Data Acquisition &amp; Development </t>
  </si>
  <si>
    <t>[THREAT] Non-Climate: Modeling</t>
  </si>
  <si>
    <t xml:space="preserve">[STATUS &amp; TRENDS] Population and Habitat Evaluation/Projection </t>
  </si>
  <si>
    <t>[THREAT] Climate: Vulnerability Assessment</t>
  </si>
  <si>
    <t>[INFORMING CONSERVATION DELIVERY]</t>
  </si>
  <si>
    <t>[DATA MANAGEMENT] and Integration</t>
  </si>
  <si>
    <t>[Traditional (Local) Ecological Knowldege]</t>
  </si>
  <si>
    <t>[Environmental Services]</t>
  </si>
  <si>
    <t>[DECISION SUPPORT TOOL] Development / Design / Deployment</t>
  </si>
  <si>
    <t>TNC-MA</t>
  </si>
  <si>
    <t>WMI-SUBGRANT</t>
  </si>
  <si>
    <t>TNC-VA</t>
  </si>
  <si>
    <t>WMI-ABC</t>
  </si>
  <si>
    <t>WMI- FERGUSON LYNCH</t>
  </si>
  <si>
    <t>WMI-SERVICE AGREEMENT</t>
  </si>
  <si>
    <t>WMI-Technical SERVICE AGREEMENT</t>
  </si>
  <si>
    <t>2013-02 (Amendment #1) [Geospatial, Expertise, Project Flow]</t>
  </si>
  <si>
    <t>2013-04 CAVE KARST – AMER UNIV</t>
  </si>
  <si>
    <t>2013 (04b) CAVE KARST – END USER CONSULT</t>
  </si>
  <si>
    <t>Federal</t>
  </si>
  <si>
    <t>USFS-SRS-EFTAC</t>
  </si>
  <si>
    <t>FWS-FS-IAA</t>
  </si>
  <si>
    <t xml:space="preserve">2014-02 INTERACTIVE PLANNING (CLEMSON) </t>
  </si>
  <si>
    <t>WMI-CMI(VPI)</t>
  </si>
  <si>
    <t>2014-04(?) WEB AND CONTENT SERVICES [Capacity/LMS etc.]</t>
  </si>
  <si>
    <t>WMI-MDNR</t>
  </si>
  <si>
    <t>2013-02 WEB DESIGN / INFRASTRUCTURE</t>
  </si>
  <si>
    <t>[DECISION SUPPORT TOOL] Interactive Modeling</t>
  </si>
  <si>
    <t>[DECISION SUPPORT TOOL] Development / Design / Deployment/Training</t>
  </si>
  <si>
    <t>[Socio-Economics] and Cultural</t>
  </si>
  <si>
    <t>State</t>
  </si>
  <si>
    <t>CATEGORY =&gt;</t>
  </si>
  <si>
    <t>ID &amp; PROJECT NAME</t>
  </si>
  <si>
    <t>2013-14-IAA-FS Research Envr. Threats &amp; Benefits</t>
  </si>
  <si>
    <t xml:space="preserve"> </t>
  </si>
  <si>
    <t>Labels</t>
  </si>
  <si>
    <t>2014-05 MD DNR SERVICE AGREEMENT [PK – 1 mo.; estimated]</t>
  </si>
  <si>
    <t xml:space="preserve">2014-05 (balance - estimated) </t>
  </si>
  <si>
    <t xml:space="preserve">[Steering Committee Mtg Support] </t>
  </si>
  <si>
    <t>CONTRACT MEETINGS LOGISTICS [Mod #4]</t>
  </si>
  <si>
    <t>CONTRACT SERVICES (GROUP SOLUTIONS)</t>
  </si>
  <si>
    <t>SC/PARTNER/CONTRACTOR TRAVEL</t>
  </si>
  <si>
    <t>WMI-Contract Services</t>
  </si>
  <si>
    <t>[Staffing] Science Coordinator</t>
  </si>
  <si>
    <t>VPI/CMI</t>
  </si>
  <si>
    <t>CESU-Coop Agreement</t>
  </si>
  <si>
    <t>[Support Services] Operational</t>
  </si>
  <si>
    <r>
      <t>SCI COORD CONTRACT (3-YR-TR SAL+BENEFIT, TRAVEL, COMPUTER) – Annual Budget shown [total 1</t>
    </r>
    <r>
      <rPr>
        <vertAlign val="superscript"/>
        <sz val="8"/>
        <color rgb="FF000000"/>
        <rFont val="Calibri"/>
        <family val="2"/>
        <scheme val="minor"/>
      </rPr>
      <t>st</t>
    </r>
    <r>
      <rPr>
        <sz val="8"/>
        <color rgb="FF000000"/>
        <rFont val="Calibri"/>
        <family val="2"/>
        <scheme val="minor"/>
      </rPr>
      <t xml:space="preserve"> FY14budget incl WMI 10%]</t>
    </r>
  </si>
  <si>
    <t>CAPACITY</t>
  </si>
  <si>
    <t>FWS-R5</t>
  </si>
  <si>
    <t>NFHP</t>
  </si>
  <si>
    <t>Science Needs (workshop) 2011 support</t>
  </si>
  <si>
    <t>EBTJV-thru-WMI</t>
  </si>
  <si>
    <t>SARP-thru-WMI</t>
  </si>
  <si>
    <t>Support Services [Originate] 2011 ($22,699) + [Mod 2012] Task 1 ($34,352) + Task 2 ($27,223)</t>
  </si>
  <si>
    <t>EBTJV-thru-CMI</t>
  </si>
  <si>
    <r>
      <t xml:space="preserve">Support Services [Mod 2012] AppLCC + </t>
    </r>
    <r>
      <rPr>
        <sz val="8"/>
        <color rgb="FFFF0000"/>
        <rFont val="Calibri"/>
        <family val="2"/>
        <scheme val="minor"/>
      </rPr>
      <t>EBTJV $17K (see below)</t>
    </r>
    <r>
      <rPr>
        <sz val="8"/>
        <color rgb="FF000000"/>
        <rFont val="Calibri"/>
        <family val="2"/>
        <scheme val="minor"/>
      </rPr>
      <t>]</t>
    </r>
  </si>
  <si>
    <t>Support Services [Mod 2013] - Contract Services/FL</t>
  </si>
  <si>
    <t>Acting Science Coord (1-yr detail) Sal+Benefits (estm.)</t>
  </si>
  <si>
    <t>Acting Science Coord (6-mo detail) Sal+Benefits (estm.)</t>
  </si>
  <si>
    <t>Note WMI figures incl. 10% unless stated otherwise</t>
  </si>
  <si>
    <t>[JMU Coop Agrmt to Umass] - from EBTJV (Catchment-scale data)</t>
  </si>
  <si>
    <t>[Fish America]-from NFHAP (AppLcc/EBT planning tool development/personnel travel etc.)</t>
  </si>
  <si>
    <t>[NFWF (support for Coord.) work with AppLCC/EBT Web Planning Tool - establ new Partnership Prioritization tool/approch (Coord time estm. to eval WW2BW)</t>
  </si>
  <si>
    <t>Atlantic State Fisheries Commission</t>
  </si>
  <si>
    <t>[Multi-State Grant] to (each $40K) ACH and EBT, awards in 2012 and 2013</t>
  </si>
  <si>
    <t>Cave/Karst/Spring study 2014 [amount estm.]</t>
  </si>
  <si>
    <t>USGS-NE Areas Office</t>
  </si>
  <si>
    <t>2013-14-IAA-FS Research Envr. Threats &amp; Benefits [SRS Match]</t>
  </si>
  <si>
    <t>2012-05 (2-year total: Communications Specialist – SALARY+BENEFITS+TRAVEL) - PT</t>
  </si>
  <si>
    <t>2014-03 AppLCC COMM SPEC (1-Yr SAL+BENEFITS, TRAVEL) - PT</t>
  </si>
  <si>
    <t>Grand Total (LCC funds) =</t>
  </si>
  <si>
    <t>Grand Total (FS)  =</t>
  </si>
  <si>
    <t>Grand Total (FWS)  =</t>
  </si>
  <si>
    <t>Grand Total (NFHP)  =</t>
  </si>
  <si>
    <t>Grand Total (Other - AFMFC) =</t>
  </si>
  <si>
    <t>Grand Total (USGS) =</t>
  </si>
  <si>
    <t>Grand Total (JV) =</t>
  </si>
  <si>
    <t>JV</t>
  </si>
  <si>
    <t>[ABC] 2012 &amp; 2013 (2-year total: Communications Specialist – SALARY+BENEFITS+TRAVEL) - PT (shared position)</t>
  </si>
  <si>
    <t>[ABC] 2014 COMM SPEC (1-Yr SAL+BENEFITS, TRAVEL) - PT (shared position)</t>
  </si>
  <si>
    <t>[Suupport Services] Operational</t>
  </si>
  <si>
    <t>*corrected w/ Rachel's #s</t>
  </si>
  <si>
    <t xml:space="preserve">Other (Atlantic Marine Fisheries Commission) WW2BW </t>
  </si>
  <si>
    <t>LCC Amount $0</t>
  </si>
  <si>
    <t>From Colm 3</t>
  </si>
  <si>
    <t xml:space="preserve">(2) (Bird) Joint Ventures </t>
  </si>
  <si>
    <t>LCC Amount $ 108,585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</si>
  <si>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8"/>
        <color rgb="FF000000"/>
        <rFont val="Calibri"/>
        <family val="2"/>
        <scheme val="minor"/>
      </rPr>
      <t>$63,000.00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</si>
  <si>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8"/>
        <color rgb="FF000000"/>
        <rFont val="Calibri"/>
        <family val="2"/>
        <scheme val="minor"/>
      </rPr>
      <t>$45,585.00</t>
    </r>
  </si>
  <si>
    <t>(7) Nat'l Fish Habitat Partnerships</t>
  </si>
  <si>
    <t>LCC Amount $ $82,000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</si>
  <si>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8"/>
        <color rgb="FF000000"/>
        <rFont val="Calibri"/>
        <family val="2"/>
        <scheme val="minor"/>
      </rPr>
      <t>$19,000.00 (web portal)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</si>
  <si>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8"/>
        <color rgb="FF000000"/>
        <rFont val="Calibri"/>
        <family val="2"/>
        <scheme val="minor"/>
      </rPr>
      <t>$28,000.00 (geonode)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</si>
  <si>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8"/>
        <color rgb="FF000000"/>
        <rFont val="Calibri"/>
        <family val="2"/>
        <scheme val="minor"/>
      </rPr>
      <t>$35,000.00 (riparian tool)</t>
    </r>
  </si>
  <si>
    <t>award yr given -- implement  following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</si>
</sst>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Symbol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/>
    <xf numFmtId="0" fontId="5" fillId="2" borderId="1" xfId="0" applyFont="1" applyFill="1" applyBorder="1"/>
    <xf numFmtId="0" fontId="0" fillId="0" borderId="0" xfId="0" applyFont="1"/>
    <xf numFmtId="0" fontId="6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/>
    <xf numFmtId="0" fontId="5" fillId="2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3" xfId="0" applyFont="1" applyBorder="1"/>
    <xf numFmtId="165" fontId="4" fillId="0" borderId="0" xfId="0" applyNumberFormat="1" applyFont="1" applyAlignment="1">
      <alignment wrapText="1"/>
    </xf>
    <xf numFmtId="165" fontId="0" fillId="0" borderId="0" xfId="0" applyNumberFormat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8" fillId="5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wrapText="1"/>
    </xf>
    <xf numFmtId="165" fontId="11" fillId="7" borderId="0" xfId="0" applyNumberFormat="1" applyFont="1" applyFill="1" applyAlignment="1">
      <alignment wrapText="1"/>
    </xf>
    <xf numFmtId="165" fontId="4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7" fillId="0" borderId="3" xfId="0" applyFont="1" applyBorder="1" applyAlignment="1">
      <alignment wrapText="1"/>
    </xf>
    <xf numFmtId="165" fontId="9" fillId="2" borderId="4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right" vertical="center" wrapText="1"/>
    </xf>
    <xf numFmtId="165" fontId="7" fillId="3" borderId="3" xfId="0" applyNumberFormat="1" applyFont="1" applyFill="1" applyBorder="1" applyAlignment="1">
      <alignment horizontal="right" vertical="center" wrapText="1"/>
    </xf>
    <xf numFmtId="165" fontId="7" fillId="4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165" fontId="7" fillId="6" borderId="3" xfId="0" applyNumberFormat="1" applyFont="1" applyFill="1" applyBorder="1" applyAlignment="1">
      <alignment horizontal="right" vertical="center" wrapText="1"/>
    </xf>
    <xf numFmtId="6" fontId="7" fillId="3" borderId="3" xfId="0" applyNumberFormat="1" applyFont="1" applyFill="1" applyBorder="1" applyAlignment="1">
      <alignment horizontal="right" vertical="center"/>
    </xf>
    <xf numFmtId="6" fontId="7" fillId="3" borderId="3" xfId="0" applyNumberFormat="1" applyFont="1" applyFill="1" applyBorder="1"/>
    <xf numFmtId="165" fontId="7" fillId="3" borderId="3" xfId="0" applyNumberFormat="1" applyFont="1" applyFill="1" applyBorder="1"/>
    <xf numFmtId="0" fontId="11" fillId="7" borderId="0" xfId="0" applyFont="1" applyFill="1" applyAlignment="1">
      <alignment horizontal="right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5" fontId="7" fillId="0" borderId="3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/>
    <xf numFmtId="165" fontId="7" fillId="0" borderId="3" xfId="0" applyNumberFormat="1" applyFont="1" applyFill="1" applyBorder="1"/>
    <xf numFmtId="165" fontId="7" fillId="5" borderId="0" xfId="0" applyNumberFormat="1" applyFont="1" applyFill="1"/>
    <xf numFmtId="0" fontId="4" fillId="10" borderId="3" xfId="0" applyFont="1" applyFill="1" applyBorder="1"/>
    <xf numFmtId="0" fontId="4" fillId="10" borderId="3" xfId="0" applyFont="1" applyFill="1" applyBorder="1" applyAlignment="1">
      <alignment wrapText="1"/>
    </xf>
    <xf numFmtId="165" fontId="4" fillId="10" borderId="3" xfId="0" applyNumberFormat="1" applyFont="1" applyFill="1" applyBorder="1" applyAlignment="1">
      <alignment wrapText="1"/>
    </xf>
    <xf numFmtId="165" fontId="4" fillId="0" borderId="0" xfId="0" applyNumberFormat="1" applyFont="1" applyAlignment="1">
      <alignment horizontal="center" vertical="center"/>
    </xf>
    <xf numFmtId="165" fontId="4" fillId="8" borderId="3" xfId="0" applyNumberFormat="1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165" fontId="4" fillId="9" borderId="3" xfId="0" applyNumberFormat="1" applyFont="1" applyFill="1" applyBorder="1" applyAlignment="1">
      <alignment wrapText="1"/>
    </xf>
    <xf numFmtId="165" fontId="14" fillId="2" borderId="4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/>
    <xf numFmtId="165" fontId="14" fillId="2" borderId="3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wrapText="1"/>
    </xf>
    <xf numFmtId="165" fontId="7" fillId="4" borderId="3" xfId="0" applyNumberFormat="1" applyFont="1" applyFill="1" applyBorder="1"/>
    <xf numFmtId="165" fontId="4" fillId="4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1" fillId="7" borderId="0" xfId="0" applyFont="1" applyFill="1" applyAlignment="1">
      <alignment wrapText="1"/>
    </xf>
    <xf numFmtId="0" fontId="7" fillId="6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4" fillId="0" borderId="4" xfId="0" applyNumberFormat="1" applyFont="1" applyBorder="1" applyAlignment="1">
      <alignment wrapText="1"/>
    </xf>
    <xf numFmtId="6" fontId="8" fillId="5" borderId="3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0" fillId="5" borderId="3" xfId="0" applyFont="1" applyFill="1" applyBorder="1" applyAlignment="1">
      <alignment horizontal="right" wrapText="1"/>
    </xf>
    <xf numFmtId="165" fontId="8" fillId="0" borderId="0" xfId="0" applyNumberFormat="1" applyFont="1" applyBorder="1" applyAlignment="1">
      <alignment wrapText="1"/>
    </xf>
    <xf numFmtId="164" fontId="8" fillId="0" borderId="0" xfId="0" applyNumberFormat="1" applyFont="1" applyAlignment="1">
      <alignment wrapText="1"/>
    </xf>
    <xf numFmtId="0" fontId="4" fillId="4" borderId="3" xfId="0" applyFont="1" applyFill="1" applyBorder="1" applyAlignment="1">
      <alignment wrapText="1"/>
    </xf>
    <xf numFmtId="165" fontId="4" fillId="4" borderId="3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5" fontId="4" fillId="11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center" vertical="center"/>
    </xf>
    <xf numFmtId="165" fontId="4" fillId="9" borderId="4" xfId="0" applyNumberFormat="1" applyFont="1" applyFill="1" applyBorder="1" applyAlignment="1">
      <alignment wrapText="1"/>
    </xf>
    <xf numFmtId="0" fontId="4" fillId="9" borderId="4" xfId="0" applyFont="1" applyFill="1" applyBorder="1" applyAlignment="1">
      <alignment wrapText="1"/>
    </xf>
    <xf numFmtId="6" fontId="4" fillId="9" borderId="4" xfId="0" applyNumberFormat="1" applyFont="1" applyFill="1" applyBorder="1" applyAlignment="1">
      <alignment wrapText="1"/>
    </xf>
    <xf numFmtId="0" fontId="4" fillId="10" borderId="4" xfId="0" applyFont="1" applyFill="1" applyBorder="1"/>
    <xf numFmtId="0" fontId="4" fillId="10" borderId="4" xfId="0" applyFont="1" applyFill="1" applyBorder="1" applyAlignment="1">
      <alignment wrapText="1"/>
    </xf>
    <xf numFmtId="165" fontId="4" fillId="10" borderId="4" xfId="0" applyNumberFormat="1" applyFont="1" applyFill="1" applyBorder="1" applyAlignment="1">
      <alignment wrapText="1"/>
    </xf>
    <xf numFmtId="165" fontId="4" fillId="5" borderId="3" xfId="0" applyNumberFormat="1" applyFont="1" applyFill="1" applyBorder="1"/>
    <xf numFmtId="165" fontId="4" fillId="5" borderId="3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7" fillId="6" borderId="4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4" fillId="8" borderId="4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wrapText="1"/>
    </xf>
    <xf numFmtId="0" fontId="13" fillId="5" borderId="3" xfId="0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6" fillId="12" borderId="0" xfId="0" applyFont="1" applyFill="1" applyAlignment="1">
      <alignment wrapText="1"/>
    </xf>
    <xf numFmtId="0" fontId="18" fillId="0" borderId="0" xfId="0" applyFont="1" applyAlignment="1">
      <alignment horizontal="left" vertical="center" indent="5"/>
    </xf>
    <xf numFmtId="0" fontId="20" fillId="0" borderId="0" xfId="0" applyFont="1" applyAlignment="1">
      <alignment horizontal="left" vertical="center" indent="5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</cellXfs>
  <cellStyles count="4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Normal" xfId="0" builtinId="0"/>
    <cellStyle name="Normal 10" xfId="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 WILLIAMSON" refreshedDate="41891.665369212962" createdVersion="4" refreshedVersion="4" minRefreshableVersion="3" recordCount="19">
  <cacheSource type="worksheet">
    <worksheetSource ref="A4:F31" sheet="AppLCC DATA"/>
  </cacheSource>
  <cacheFields count="6">
    <cacheField name="PARTNER CATEGORY" numFmtId="0">
      <sharedItems count="3">
        <s v="NGO"/>
        <s v="ACADEMIA"/>
        <s v="FEDERAL"/>
      </sharedItems>
    </cacheField>
    <cacheField name="PARTNER NAME" numFmtId="0">
      <sharedItems/>
    </cacheField>
    <cacheField name="ASSISTANCE TYPE" numFmtId="0">
      <sharedItems/>
    </cacheField>
    <cacheField name="PROJECT NAME" numFmtId="0">
      <sharedItems/>
    </cacheField>
    <cacheField name="BUDGET" numFmtId="164">
      <sharedItems containsSemiMixedTypes="0" containsString="0" containsNumber="1" minValue="6000" maxValue="216329.13"/>
    </cacheField>
    <cacheField name="CATEGORY" numFmtId="0">
      <sharedItems count="5">
        <s v="DATA ACQUISITION"/>
        <s v="VULNERABILITY ASSESSMENTS"/>
        <s v="INFORMING CONSERVATION DELIVERY"/>
        <s v="CONSERVATION PLANNING"/>
        <s v="DATA MANAGEME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s v="TNC"/>
    <s v="SUBGRANT"/>
    <s v="2012-01 STREAM CLASSIFICATION (TNC BOSTON)"/>
    <n v="74458"/>
    <x v="0"/>
  </r>
  <r>
    <x v="0"/>
    <s v="TNC"/>
    <s v="SUBGRANT"/>
    <s v="2012-02 ENERGY EXTRACTION (TNC VA)"/>
    <n v="216329.13"/>
    <x v="0"/>
  </r>
  <r>
    <x v="1"/>
    <s v="CORNELL"/>
    <s v="SUBGRANT"/>
    <s v="2012-03 HYDROLOGICAL MONITORING (CORNELL)"/>
    <n v="153206"/>
    <x v="0"/>
  </r>
  <r>
    <x v="0"/>
    <s v="NATURESERVE"/>
    <s v="SUBGRANT"/>
    <s v="2012-04 LAND USE AND CLIMATE (NATURESERVE)"/>
    <n v="186945.46"/>
    <x v="1"/>
  </r>
  <r>
    <x v="0"/>
    <s v="ABC"/>
    <s v="SUBGRANT"/>
    <s v="2012-05 AMJV/ALCC COMM SPEC"/>
    <n v="29750"/>
    <x v="2"/>
  </r>
  <r>
    <x v="1"/>
    <s v="CLEMSON"/>
    <s v="SUBGRANT"/>
    <s v="2013-01 DATA NEEDS ASSESSMENT (CLEMSON)"/>
    <n v="74191.100000000006"/>
    <x v="3"/>
  </r>
  <r>
    <x v="0"/>
    <s v="FERGUSON LYNCH"/>
    <s v="SUBGRANT"/>
    <s v="2013-02 WEB PRIORITIZATION"/>
    <n v="19000"/>
    <x v="4"/>
  </r>
  <r>
    <x v="2"/>
    <s v="USFS"/>
    <s v="SUBGRANT"/>
    <s v="2013-03 USFS RIPARIAN ASSESSMENT"/>
    <n v="35000"/>
    <x v="0"/>
  </r>
  <r>
    <x v="1"/>
    <s v="AMERICAN UNIV"/>
    <s v="SUBGRANT"/>
    <s v="2013-04 CAVE KARST -- AMER UNIV"/>
    <n v="110862"/>
    <x v="0"/>
  </r>
  <r>
    <x v="1"/>
    <s v="AMERICAN UNIV"/>
    <s v="SUBGRANT"/>
    <s v="2013 CAVE KARST -- END USER CONSULT"/>
    <n v="30000"/>
    <x v="0"/>
  </r>
  <r>
    <x v="0"/>
    <s v="WMI"/>
    <s v="SCIENCE SUPPORT AND CAPACITY"/>
    <s v="CONTRACT MEETINGS LOGISTICS"/>
    <n v="7000"/>
    <x v="3"/>
  </r>
  <r>
    <x v="0"/>
    <s v="WMI"/>
    <s v="SCIENCE SUPPORT AND CAPACITY"/>
    <s v="CONTRACT SERVICES (GROUP SOLUTIONS)"/>
    <n v="19700"/>
    <x v="3"/>
  </r>
  <r>
    <x v="0"/>
    <s v="WMI"/>
    <s v="SCIENCE SUPPORT AND CAPACITY"/>
    <s v="SC/PARTNER/CONTRACTOR TRAVEL"/>
    <n v="6000"/>
    <x v="3"/>
  </r>
  <r>
    <x v="0"/>
    <s v="WMI"/>
    <s v="SCIENCE SUPPORT AND CAPACITY"/>
    <s v="FISHERIES GIS SUPPORT"/>
    <n v="40000"/>
    <x v="4"/>
  </r>
  <r>
    <x v="0"/>
    <s v="WMI"/>
    <s v="SCIENCE SUPPORT AND CAPACITY"/>
    <s v="FISHERIES WEBSITE SUPPORRT"/>
    <n v="40000"/>
    <x v="4"/>
  </r>
  <r>
    <x v="0"/>
    <s v="WMI"/>
    <s v="SCIENCE SUPPORT AND CAPACITY"/>
    <s v="WEB AND CONTENT SERVICES"/>
    <n v="32000"/>
    <x v="4"/>
  </r>
  <r>
    <x v="0"/>
    <s v="WMI"/>
    <s v="SCIENCE SUPPORT AND CAPACITY"/>
    <s v="SCI COORD CONTRACT (2-TR SAL+BENEFIT, TRAVEL, COMPUTER)"/>
    <n v="31085"/>
    <x v="3"/>
  </r>
  <r>
    <x v="1"/>
    <s v="CLEMSON"/>
    <s v="SUBGRANT"/>
    <s v="INTERACTIVE PLANNING (CLEMSON) 2014-02"/>
    <n v="45287"/>
    <x v="3"/>
  </r>
  <r>
    <x v="1"/>
    <s v="CMI VPI"/>
    <s v="SUBGRANT"/>
    <s v="2012-05 AMJV/ALCC COMM SPEC"/>
    <n v="3225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8" firstHeaderRow="1" firstDataRow="2" firstDataCol="1"/>
  <pivotFields count="6"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dataField="1" numFmtId="164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DGET" fld="4" baseField="0" baseItem="0"/>
    <dataField name="Count of BUDGET2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gridDropZones="1" multipleFieldFilters="0">
  <location ref="A3:B10" firstHeaderRow="2" firstDataRow="2" firstDataCol="1"/>
  <pivotFields count="6">
    <pivotField showAll="0"/>
    <pivotField showAll="0"/>
    <pivotField showAll="0"/>
    <pivotField showAll="0"/>
    <pivotField dataField="1" numFmtId="164" showAll="0"/>
    <pivotField axis="axisRow" showAll="0">
      <items count="6">
        <item x="3"/>
        <item x="0"/>
        <item x="4"/>
        <item x="2"/>
        <item x="1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BUDGET" fld="4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B5" sqref="B5"/>
    </sheetView>
  </sheetViews>
  <sheetFormatPr defaultColWidth="11.42578125" defaultRowHeight="15" x14ac:dyDescent="0.25"/>
  <cols>
    <col min="1" max="1" width="12.28515625" customWidth="1"/>
    <col min="2" max="2" width="13.140625" bestFit="1" customWidth="1"/>
    <col min="3" max="3" width="15.28515625" bestFit="1" customWidth="1"/>
  </cols>
  <sheetData>
    <row r="3" spans="1:3" x14ac:dyDescent="0.25">
      <c r="B3" s="1" t="s">
        <v>17</v>
      </c>
    </row>
    <row r="4" spans="1:3" x14ac:dyDescent="0.25">
      <c r="A4" s="1" t="s">
        <v>14</v>
      </c>
      <c r="B4" t="s">
        <v>16</v>
      </c>
      <c r="C4" t="s">
        <v>18</v>
      </c>
    </row>
    <row r="5" spans="1:3" x14ac:dyDescent="0.25">
      <c r="A5" s="2" t="s">
        <v>5</v>
      </c>
      <c r="B5" s="3">
        <v>445796.1</v>
      </c>
      <c r="C5" s="3">
        <v>6</v>
      </c>
    </row>
    <row r="6" spans="1:3" x14ac:dyDescent="0.25">
      <c r="A6" s="2" t="s">
        <v>28</v>
      </c>
      <c r="B6" s="3">
        <v>35000</v>
      </c>
      <c r="C6" s="3">
        <v>1</v>
      </c>
    </row>
    <row r="7" spans="1:3" x14ac:dyDescent="0.25">
      <c r="A7" s="2" t="s">
        <v>4</v>
      </c>
      <c r="B7" s="3">
        <v>702267.59</v>
      </c>
      <c r="C7" s="3">
        <v>12</v>
      </c>
    </row>
    <row r="8" spans="1:3" x14ac:dyDescent="0.25">
      <c r="A8" s="2" t="s">
        <v>15</v>
      </c>
      <c r="B8" s="3">
        <v>1183063.69</v>
      </c>
      <c r="C8" s="3">
        <v>19</v>
      </c>
    </row>
  </sheetData>
  <pageMargins left="0.75" right="0.75" top="1" bottom="1" header="0.5" footer="0.5"/>
  <pageSetup orientation="portrait" horizontalDpi="0" verticalDpi="0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B5" sqref="B5"/>
    </sheetView>
  </sheetViews>
  <sheetFormatPr defaultColWidth="11.42578125" defaultRowHeight="15" x14ac:dyDescent="0.25"/>
  <cols>
    <col min="1" max="1" width="35.5703125" customWidth="1"/>
    <col min="2" max="2" width="11" customWidth="1"/>
    <col min="3" max="3" width="15.28515625" bestFit="1" customWidth="1"/>
  </cols>
  <sheetData>
    <row r="3" spans="1:2" x14ac:dyDescent="0.25">
      <c r="A3" s="1" t="s">
        <v>16</v>
      </c>
    </row>
    <row r="4" spans="1:2" x14ac:dyDescent="0.25">
      <c r="A4" s="1" t="s">
        <v>14</v>
      </c>
      <c r="B4" t="s">
        <v>29</v>
      </c>
    </row>
    <row r="5" spans="1:2" x14ac:dyDescent="0.25">
      <c r="A5" s="2" t="s">
        <v>7</v>
      </c>
      <c r="B5" s="3">
        <v>183263.1</v>
      </c>
    </row>
    <row r="6" spans="1:2" x14ac:dyDescent="0.25">
      <c r="A6" s="2" t="s">
        <v>10</v>
      </c>
      <c r="B6" s="3">
        <v>619855.13</v>
      </c>
    </row>
    <row r="7" spans="1:2" x14ac:dyDescent="0.25">
      <c r="A7" s="2" t="s">
        <v>9</v>
      </c>
      <c r="B7" s="3">
        <v>131000</v>
      </c>
    </row>
    <row r="8" spans="1:2" x14ac:dyDescent="0.25">
      <c r="A8" s="2" t="s">
        <v>8</v>
      </c>
      <c r="B8" s="3">
        <v>62000</v>
      </c>
    </row>
    <row r="9" spans="1:2" x14ac:dyDescent="0.25">
      <c r="A9" s="2" t="s">
        <v>6</v>
      </c>
      <c r="B9" s="3">
        <v>186945.46</v>
      </c>
    </row>
    <row r="10" spans="1:2" x14ac:dyDescent="0.25">
      <c r="A10" s="2" t="s">
        <v>15</v>
      </c>
      <c r="B10" s="3">
        <v>1183063.69</v>
      </c>
    </row>
  </sheetData>
  <pageMargins left="0.75" right="0.75" top="1" bottom="1" header="0.5" footer="0.5"/>
  <pageSetup orientation="portrait" horizontalDpi="0" verticalDpi="0"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7"/>
  <sheetViews>
    <sheetView workbookViewId="0">
      <selection activeCell="F9" sqref="F9"/>
    </sheetView>
  </sheetViews>
  <sheetFormatPr defaultRowHeight="15" x14ac:dyDescent="0.25"/>
  <cols>
    <col min="2" max="2" width="86.140625" bestFit="1" customWidth="1"/>
  </cols>
  <sheetData>
    <row r="4" spans="2:3" x14ac:dyDescent="0.25">
      <c r="B4" s="7" t="s">
        <v>14</v>
      </c>
    </row>
    <row r="5" spans="2:3" x14ac:dyDescent="0.25">
      <c r="B5" t="s">
        <v>37</v>
      </c>
    </row>
    <row r="6" spans="2:3" s="9" customFormat="1" x14ac:dyDescent="0.25">
      <c r="B6" s="5" t="s">
        <v>30</v>
      </c>
    </row>
    <row r="7" spans="2:3" x14ac:dyDescent="0.25">
      <c r="B7" s="5" t="s">
        <v>31</v>
      </c>
      <c r="C7" s="6"/>
    </row>
    <row r="8" spans="2:3" x14ac:dyDescent="0.25">
      <c r="B8" s="5" t="s">
        <v>6</v>
      </c>
      <c r="C8" s="6" t="s">
        <v>77</v>
      </c>
    </row>
    <row r="9" spans="2:3" x14ac:dyDescent="0.25">
      <c r="B9" s="5" t="s">
        <v>7</v>
      </c>
      <c r="C9" s="6" t="s">
        <v>77</v>
      </c>
    </row>
    <row r="10" spans="2:3" x14ac:dyDescent="0.25">
      <c r="B10" s="10" t="s">
        <v>38</v>
      </c>
      <c r="C10" s="11"/>
    </row>
    <row r="11" spans="2:3" x14ac:dyDescent="0.25">
      <c r="B11" s="5" t="s">
        <v>8</v>
      </c>
      <c r="C11" s="6" t="s">
        <v>77</v>
      </c>
    </row>
    <row r="12" spans="2:3" x14ac:dyDescent="0.25">
      <c r="B12" s="5" t="s">
        <v>32</v>
      </c>
      <c r="C12" s="6" t="s">
        <v>77</v>
      </c>
    </row>
    <row r="13" spans="2:3" x14ac:dyDescent="0.25">
      <c r="B13" s="5" t="s">
        <v>33</v>
      </c>
      <c r="C13" s="6" t="s">
        <v>77</v>
      </c>
    </row>
    <row r="14" spans="2:3" x14ac:dyDescent="0.25">
      <c r="B14" s="10" t="s">
        <v>34</v>
      </c>
      <c r="C14" s="11"/>
    </row>
    <row r="15" spans="2:3" x14ac:dyDescent="0.25">
      <c r="B15" s="10" t="s">
        <v>35</v>
      </c>
      <c r="C15" s="11"/>
    </row>
    <row r="16" spans="2:3" x14ac:dyDescent="0.25">
      <c r="B16" s="10" t="s">
        <v>36</v>
      </c>
      <c r="C16" s="11"/>
    </row>
    <row r="17" spans="2:3" x14ac:dyDescent="0.25">
      <c r="B17" s="10"/>
      <c r="C17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27"/>
  <sheetViews>
    <sheetView topLeftCell="A8" workbookViewId="0">
      <selection activeCell="C26" sqref="C26:C27"/>
    </sheetView>
  </sheetViews>
  <sheetFormatPr defaultRowHeight="15" x14ac:dyDescent="0.25"/>
  <cols>
    <col min="3" max="3" width="67.5703125" bestFit="1" customWidth="1"/>
  </cols>
  <sheetData>
    <row r="4" spans="3:3" x14ac:dyDescent="0.25">
      <c r="C4" s="7" t="s">
        <v>78</v>
      </c>
    </row>
    <row r="5" spans="3:3" x14ac:dyDescent="0.25">
      <c r="C5" s="12" t="s">
        <v>39</v>
      </c>
    </row>
    <row r="6" spans="3:3" s="8" customFormat="1" x14ac:dyDescent="0.25">
      <c r="C6" s="13" t="s">
        <v>43</v>
      </c>
    </row>
    <row r="7" spans="3:3" s="8" customFormat="1" x14ac:dyDescent="0.25">
      <c r="C7" s="13" t="s">
        <v>44</v>
      </c>
    </row>
    <row r="8" spans="3:3" s="8" customFormat="1" x14ac:dyDescent="0.25">
      <c r="C8" s="13" t="s">
        <v>46</v>
      </c>
    </row>
    <row r="9" spans="3:3" s="8" customFormat="1" x14ac:dyDescent="0.25">
      <c r="C9" s="5" t="s">
        <v>45</v>
      </c>
    </row>
    <row r="10" spans="3:3" s="8" customFormat="1" x14ac:dyDescent="0.25"/>
    <row r="11" spans="3:3" x14ac:dyDescent="0.25">
      <c r="C11" s="12" t="s">
        <v>40</v>
      </c>
    </row>
    <row r="12" spans="3:3" s="8" customFormat="1" x14ac:dyDescent="0.25">
      <c r="C12" s="13" t="s">
        <v>71</v>
      </c>
    </row>
    <row r="13" spans="3:3" s="8" customFormat="1" x14ac:dyDescent="0.25">
      <c r="C13" s="13" t="s">
        <v>70</v>
      </c>
    </row>
    <row r="14" spans="3:3" s="8" customFormat="1" x14ac:dyDescent="0.25">
      <c r="C14" s="13" t="s">
        <v>72</v>
      </c>
    </row>
    <row r="15" spans="3:3" s="8" customFormat="1" x14ac:dyDescent="0.25">
      <c r="C15" s="13" t="s">
        <v>50</v>
      </c>
    </row>
    <row r="16" spans="3:3" s="8" customFormat="1" x14ac:dyDescent="0.25">
      <c r="C16" s="13" t="s">
        <v>49</v>
      </c>
    </row>
    <row r="17" spans="3:3" s="8" customFormat="1" x14ac:dyDescent="0.25">
      <c r="C17" s="13" t="s">
        <v>81</v>
      </c>
    </row>
    <row r="18" spans="3:3" s="8" customFormat="1" x14ac:dyDescent="0.25">
      <c r="C18" s="13"/>
    </row>
    <row r="19" spans="3:3" x14ac:dyDescent="0.25">
      <c r="C19" s="12" t="s">
        <v>41</v>
      </c>
    </row>
    <row r="20" spans="3:3" s="8" customFormat="1" x14ac:dyDescent="0.25">
      <c r="C20" s="10" t="s">
        <v>48</v>
      </c>
    </row>
    <row r="21" spans="3:3" s="8" customFormat="1" x14ac:dyDescent="0.25">
      <c r="C21" s="10"/>
    </row>
    <row r="22" spans="3:3" x14ac:dyDescent="0.25">
      <c r="C22" s="12" t="s">
        <v>42</v>
      </c>
    </row>
    <row r="23" spans="3:3" s="8" customFormat="1" x14ac:dyDescent="0.25">
      <c r="C23" s="5" t="s">
        <v>47</v>
      </c>
    </row>
    <row r="24" spans="3:3" s="8" customFormat="1" x14ac:dyDescent="0.25">
      <c r="C24" s="10"/>
    </row>
    <row r="25" spans="3:3" x14ac:dyDescent="0.25">
      <c r="C25" s="12" t="s">
        <v>91</v>
      </c>
    </row>
    <row r="26" spans="3:3" s="14" customFormat="1" x14ac:dyDescent="0.25">
      <c r="C26" s="13" t="s">
        <v>86</v>
      </c>
    </row>
    <row r="27" spans="3:3" s="14" customFormat="1" x14ac:dyDescent="0.25">
      <c r="C27" s="13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4"/>
  <sheetViews>
    <sheetView tabSelected="1" topLeftCell="A3" workbookViewId="0">
      <pane ySplit="2" topLeftCell="A59" activePane="bottomLeft" state="frozen"/>
      <selection activeCell="A3" sqref="A3"/>
      <selection pane="bottomLeft" activeCell="I63" sqref="I63"/>
    </sheetView>
  </sheetViews>
  <sheetFormatPr defaultColWidth="11.42578125" defaultRowHeight="15" x14ac:dyDescent="0.25"/>
  <cols>
    <col min="1" max="2" width="8.85546875" style="62" customWidth="1"/>
    <col min="3" max="3" width="14" style="62" customWidth="1"/>
    <col min="4" max="4" width="21.28515625" style="62" customWidth="1"/>
    <col min="5" max="5" width="8.42578125" style="18" customWidth="1"/>
    <col min="6" max="6" width="12.7109375" style="42" customWidth="1"/>
    <col min="7" max="7" width="8.5703125" style="16" customWidth="1"/>
    <col min="8" max="8" width="7.7109375" style="16" customWidth="1"/>
    <col min="9" max="9" width="6.5703125" style="16" customWidth="1"/>
    <col min="10" max="10" width="7.5703125" style="16" customWidth="1"/>
    <col min="11" max="11" width="7.140625" style="51" customWidth="1"/>
  </cols>
  <sheetData>
    <row r="3" spans="1:11" x14ac:dyDescent="0.25">
      <c r="E3" s="45" t="s">
        <v>103</v>
      </c>
    </row>
    <row r="4" spans="1:11" ht="23.25" x14ac:dyDescent="0.25">
      <c r="A4" s="63" t="s">
        <v>11</v>
      </c>
      <c r="B4" s="63" t="s">
        <v>12</v>
      </c>
      <c r="C4" s="63" t="s">
        <v>13</v>
      </c>
      <c r="D4" s="63" t="s">
        <v>75</v>
      </c>
      <c r="E4" s="25" t="s">
        <v>1</v>
      </c>
      <c r="F4" s="38" t="s">
        <v>74</v>
      </c>
      <c r="G4" s="29" t="s">
        <v>39</v>
      </c>
      <c r="H4" s="29" t="s">
        <v>40</v>
      </c>
      <c r="I4" s="29" t="s">
        <v>41</v>
      </c>
      <c r="J4" s="29" t="s">
        <v>42</v>
      </c>
      <c r="K4" s="55" t="s">
        <v>91</v>
      </c>
    </row>
    <row r="5" spans="1:11" ht="34.5" x14ac:dyDescent="0.25">
      <c r="A5" s="71" t="s">
        <v>4</v>
      </c>
      <c r="B5" s="33" t="s">
        <v>52</v>
      </c>
      <c r="C5" s="33" t="s">
        <v>53</v>
      </c>
      <c r="D5" s="33" t="s">
        <v>24</v>
      </c>
      <c r="E5" s="31">
        <f>74458+7446</f>
        <v>81904</v>
      </c>
      <c r="F5" s="39" t="s">
        <v>43</v>
      </c>
      <c r="G5" s="31">
        <f>E5</f>
        <v>81904</v>
      </c>
      <c r="H5" s="15"/>
      <c r="I5" s="15"/>
      <c r="J5" s="15"/>
      <c r="K5" s="26"/>
    </row>
    <row r="6" spans="1:11" ht="34.5" x14ac:dyDescent="0.25">
      <c r="A6" s="71" t="s">
        <v>4</v>
      </c>
      <c r="B6" s="33" t="s">
        <v>54</v>
      </c>
      <c r="C6" s="33" t="s">
        <v>53</v>
      </c>
      <c r="D6" s="33" t="s">
        <v>23</v>
      </c>
      <c r="E6" s="31">
        <f>216329.13+21633</f>
        <v>237962.13</v>
      </c>
      <c r="F6" s="39" t="s">
        <v>44</v>
      </c>
      <c r="G6" s="31">
        <f>E6</f>
        <v>237962.13</v>
      </c>
      <c r="H6" s="15"/>
      <c r="I6" s="15"/>
      <c r="J6" s="15"/>
      <c r="K6" s="26"/>
    </row>
    <row r="7" spans="1:11" ht="34.5" x14ac:dyDescent="0.25">
      <c r="A7" s="72" t="s">
        <v>5</v>
      </c>
      <c r="B7" s="33" t="s">
        <v>25</v>
      </c>
      <c r="C7" s="33" t="s">
        <v>53</v>
      </c>
      <c r="D7" s="33" t="s">
        <v>22</v>
      </c>
      <c r="E7" s="32">
        <f>153206+15321</f>
        <v>168527</v>
      </c>
      <c r="F7" s="39" t="s">
        <v>44</v>
      </c>
      <c r="G7" s="32">
        <f>E7</f>
        <v>168527</v>
      </c>
      <c r="H7" s="15"/>
      <c r="I7" s="15"/>
      <c r="J7" s="15"/>
      <c r="K7" s="26"/>
    </row>
    <row r="8" spans="1:11" ht="34.5" x14ac:dyDescent="0.25">
      <c r="A8" s="71" t="s">
        <v>4</v>
      </c>
      <c r="B8" s="33" t="s">
        <v>0</v>
      </c>
      <c r="C8" s="33" t="s">
        <v>53</v>
      </c>
      <c r="D8" s="33" t="s">
        <v>21</v>
      </c>
      <c r="E8" s="31">
        <f>186945.46+18583</f>
        <v>205528.46</v>
      </c>
      <c r="F8" s="39" t="s">
        <v>46</v>
      </c>
      <c r="G8" s="31">
        <f>E8</f>
        <v>205528.46</v>
      </c>
      <c r="H8" s="15"/>
      <c r="I8" s="15"/>
      <c r="J8" s="15"/>
      <c r="K8" s="26"/>
    </row>
    <row r="9" spans="1:11" ht="34.5" x14ac:dyDescent="0.25">
      <c r="A9" s="71" t="s">
        <v>4</v>
      </c>
      <c r="B9" s="33" t="s">
        <v>55</v>
      </c>
      <c r="C9" s="33" t="s">
        <v>53</v>
      </c>
      <c r="D9" s="33" t="s">
        <v>112</v>
      </c>
      <c r="E9" s="31">
        <f>63000+6900</f>
        <v>69900</v>
      </c>
      <c r="F9" s="40" t="s">
        <v>47</v>
      </c>
      <c r="G9" s="15"/>
      <c r="H9" s="15"/>
      <c r="I9" s="15"/>
      <c r="J9" s="23">
        <f>E9</f>
        <v>69900</v>
      </c>
      <c r="K9" s="26"/>
    </row>
    <row r="10" spans="1:11" ht="34.5" x14ac:dyDescent="0.25">
      <c r="A10" s="72" t="s">
        <v>5</v>
      </c>
      <c r="B10" s="33" t="s">
        <v>3</v>
      </c>
      <c r="C10" s="33" t="s">
        <v>53</v>
      </c>
      <c r="D10" s="33" t="s">
        <v>20</v>
      </c>
      <c r="E10" s="32">
        <f>74191.1+7419</f>
        <v>81610.100000000006</v>
      </c>
      <c r="F10" s="40" t="s">
        <v>48</v>
      </c>
      <c r="G10" s="15"/>
      <c r="H10" s="15"/>
      <c r="I10" s="32">
        <f>E10</f>
        <v>81610.100000000006</v>
      </c>
      <c r="J10" s="15"/>
      <c r="K10" s="26"/>
    </row>
    <row r="11" spans="1:11" ht="34.5" x14ac:dyDescent="0.25">
      <c r="A11" s="71" t="s">
        <v>4</v>
      </c>
      <c r="B11" s="33" t="s">
        <v>56</v>
      </c>
      <c r="C11" s="33" t="s">
        <v>57</v>
      </c>
      <c r="D11" s="33" t="s">
        <v>69</v>
      </c>
      <c r="E11" s="31">
        <f>19000+1900</f>
        <v>20900</v>
      </c>
      <c r="F11" s="40" t="s">
        <v>47</v>
      </c>
      <c r="G11" s="15"/>
      <c r="H11" s="15"/>
      <c r="I11" s="15"/>
      <c r="J11" s="31">
        <f>E11</f>
        <v>20900</v>
      </c>
      <c r="K11" s="26"/>
    </row>
    <row r="12" spans="1:11" ht="57" x14ac:dyDescent="0.25">
      <c r="A12" s="71" t="s">
        <v>4</v>
      </c>
      <c r="B12" s="33" t="s">
        <v>56</v>
      </c>
      <c r="C12" s="33" t="s">
        <v>58</v>
      </c>
      <c r="D12" s="33" t="s">
        <v>59</v>
      </c>
      <c r="E12" s="31">
        <f>28000+2800</f>
        <v>30800</v>
      </c>
      <c r="F12" s="39" t="s">
        <v>51</v>
      </c>
      <c r="G12" s="15"/>
      <c r="H12" s="31">
        <f>E12</f>
        <v>30800</v>
      </c>
      <c r="I12" s="15"/>
      <c r="J12" s="15"/>
      <c r="K12" s="26"/>
    </row>
    <row r="13" spans="1:11" ht="57" x14ac:dyDescent="0.25">
      <c r="A13" s="64" t="s">
        <v>28</v>
      </c>
      <c r="B13" s="64" t="s">
        <v>26</v>
      </c>
      <c r="C13" s="64" t="s">
        <v>53</v>
      </c>
      <c r="D13" s="64" t="s">
        <v>19</v>
      </c>
      <c r="E13" s="34">
        <f>35000+3500</f>
        <v>38500</v>
      </c>
      <c r="F13" s="39" t="s">
        <v>51</v>
      </c>
      <c r="G13" s="15"/>
      <c r="H13" s="34">
        <f>E13</f>
        <v>38500</v>
      </c>
      <c r="I13" s="15"/>
      <c r="J13" s="15"/>
      <c r="K13" s="26"/>
    </row>
    <row r="14" spans="1:11" ht="34.5" x14ac:dyDescent="0.25">
      <c r="A14" s="72" t="s">
        <v>5</v>
      </c>
      <c r="B14" s="33" t="s">
        <v>27</v>
      </c>
      <c r="C14" s="33" t="s">
        <v>53</v>
      </c>
      <c r="D14" s="33" t="s">
        <v>60</v>
      </c>
      <c r="E14" s="32">
        <f>110862+1109</f>
        <v>111971</v>
      </c>
      <c r="F14" s="39" t="s">
        <v>43</v>
      </c>
      <c r="G14" s="32">
        <f>E14</f>
        <v>111971</v>
      </c>
      <c r="H14" s="15"/>
      <c r="I14" s="15"/>
      <c r="J14" s="15"/>
      <c r="K14" s="26"/>
    </row>
    <row r="15" spans="1:11" ht="57" x14ac:dyDescent="0.25">
      <c r="A15" s="71" t="s">
        <v>4</v>
      </c>
      <c r="B15" s="33" t="s">
        <v>2</v>
      </c>
      <c r="C15" s="33" t="s">
        <v>53</v>
      </c>
      <c r="D15" s="33" t="s">
        <v>61</v>
      </c>
      <c r="E15" s="31">
        <f>30000+3000</f>
        <v>33000</v>
      </c>
      <c r="F15" s="39" t="s">
        <v>51</v>
      </c>
      <c r="G15" s="15"/>
      <c r="H15" s="31">
        <f>E15</f>
        <v>33000</v>
      </c>
      <c r="I15" s="15"/>
      <c r="J15" s="15"/>
      <c r="K15" s="26"/>
    </row>
    <row r="16" spans="1:11" ht="23.25" x14ac:dyDescent="0.25">
      <c r="A16" s="64" t="s">
        <v>62</v>
      </c>
      <c r="B16" s="64" t="s">
        <v>63</v>
      </c>
      <c r="C16" s="64" t="s">
        <v>64</v>
      </c>
      <c r="D16" s="64" t="s">
        <v>76</v>
      </c>
      <c r="E16" s="34">
        <v>148529</v>
      </c>
      <c r="F16" s="39" t="s">
        <v>50</v>
      </c>
      <c r="G16" s="15"/>
      <c r="H16" s="34">
        <v>148529</v>
      </c>
      <c r="I16" s="15"/>
      <c r="J16" s="15"/>
      <c r="K16" s="26"/>
    </row>
    <row r="17" spans="1:11" ht="45.75" x14ac:dyDescent="0.25">
      <c r="A17" s="72" t="s">
        <v>5</v>
      </c>
      <c r="B17" s="33" t="s">
        <v>3</v>
      </c>
      <c r="C17" s="33" t="s">
        <v>53</v>
      </c>
      <c r="D17" s="33" t="s">
        <v>65</v>
      </c>
      <c r="E17" s="32">
        <v>45287</v>
      </c>
      <c r="F17" s="39" t="s">
        <v>70</v>
      </c>
      <c r="G17" s="15"/>
      <c r="H17" s="32">
        <f>E17</f>
        <v>45287</v>
      </c>
      <c r="I17" s="15"/>
      <c r="J17" s="15"/>
      <c r="K17" s="26"/>
    </row>
    <row r="18" spans="1:11" ht="34.5" x14ac:dyDescent="0.25">
      <c r="A18" s="71" t="s">
        <v>4</v>
      </c>
      <c r="B18" s="33" t="s">
        <v>66</v>
      </c>
      <c r="C18" s="33" t="s">
        <v>53</v>
      </c>
      <c r="D18" s="33" t="s">
        <v>113</v>
      </c>
      <c r="E18" s="31">
        <v>45585</v>
      </c>
      <c r="F18" s="40" t="s">
        <v>47</v>
      </c>
      <c r="G18" s="15"/>
      <c r="H18" s="15"/>
      <c r="I18" s="15"/>
      <c r="J18" s="31">
        <f>E18</f>
        <v>45585</v>
      </c>
      <c r="K18" s="26"/>
    </row>
    <row r="19" spans="1:11" ht="68.25" x14ac:dyDescent="0.25">
      <c r="A19" s="71" t="s">
        <v>4</v>
      </c>
      <c r="B19" s="33" t="s">
        <v>56</v>
      </c>
      <c r="C19" s="33" t="s">
        <v>58</v>
      </c>
      <c r="D19" s="33" t="s">
        <v>67</v>
      </c>
      <c r="E19" s="31">
        <v>42075</v>
      </c>
      <c r="F19" s="39" t="s">
        <v>71</v>
      </c>
      <c r="G19" s="15"/>
      <c r="H19" s="31">
        <f>E19</f>
        <v>42075</v>
      </c>
      <c r="I19" s="15"/>
      <c r="J19" s="15"/>
      <c r="K19" s="26"/>
    </row>
    <row r="20" spans="1:11" ht="33.75" x14ac:dyDescent="0.25">
      <c r="A20" s="33" t="s">
        <v>73</v>
      </c>
      <c r="B20" s="33" t="s">
        <v>68</v>
      </c>
      <c r="C20" s="33" t="s">
        <v>85</v>
      </c>
      <c r="D20" s="33" t="s">
        <v>79</v>
      </c>
      <c r="E20" s="44">
        <f>151770/12</f>
        <v>12647.5</v>
      </c>
      <c r="F20" s="33" t="s">
        <v>72</v>
      </c>
      <c r="G20" s="15"/>
      <c r="H20" s="15"/>
      <c r="I20" s="15"/>
      <c r="J20" s="15"/>
      <c r="K20" s="30">
        <f>E20</f>
        <v>12647.5</v>
      </c>
    </row>
    <row r="21" spans="1:11" ht="33.75" x14ac:dyDescent="0.25">
      <c r="A21" s="73" t="s">
        <v>4</v>
      </c>
      <c r="B21" s="65" t="s">
        <v>53</v>
      </c>
      <c r="C21" s="65" t="s">
        <v>53</v>
      </c>
      <c r="D21" s="33" t="s">
        <v>80</v>
      </c>
      <c r="E21" s="24">
        <f>151770-E20</f>
        <v>139122.5</v>
      </c>
      <c r="F21" s="33" t="s">
        <v>72</v>
      </c>
      <c r="G21" s="15"/>
      <c r="H21" s="15"/>
      <c r="I21" s="15"/>
      <c r="J21" s="15"/>
      <c r="K21" s="24">
        <f>E21</f>
        <v>139122.5</v>
      </c>
    </row>
    <row r="22" spans="1:11" ht="33.75" x14ac:dyDescent="0.25">
      <c r="A22" s="71" t="s">
        <v>4</v>
      </c>
      <c r="B22" s="33" t="s">
        <v>2</v>
      </c>
      <c r="C22" s="65" t="s">
        <v>85</v>
      </c>
      <c r="D22" s="28" t="s">
        <v>82</v>
      </c>
      <c r="E22" s="35">
        <f>7000+700</f>
        <v>7700</v>
      </c>
      <c r="F22" s="33" t="s">
        <v>81</v>
      </c>
      <c r="G22" s="27"/>
      <c r="H22" s="35">
        <f>E22</f>
        <v>7700</v>
      </c>
      <c r="I22" s="27"/>
      <c r="J22" s="27"/>
      <c r="K22" s="17"/>
    </row>
    <row r="23" spans="1:11" ht="33.75" x14ac:dyDescent="0.25">
      <c r="A23" s="71" t="s">
        <v>4</v>
      </c>
      <c r="B23" s="65" t="s">
        <v>2</v>
      </c>
      <c r="C23" s="65" t="s">
        <v>85</v>
      </c>
      <c r="D23" s="28" t="s">
        <v>83</v>
      </c>
      <c r="E23" s="36">
        <f>19700+1970</f>
        <v>21670</v>
      </c>
      <c r="F23" s="33" t="s">
        <v>81</v>
      </c>
      <c r="G23" s="27"/>
      <c r="H23" s="36">
        <f>E23</f>
        <v>21670</v>
      </c>
      <c r="I23" s="27"/>
      <c r="J23" s="27"/>
      <c r="K23" s="17"/>
    </row>
    <row r="24" spans="1:11" ht="33.75" x14ac:dyDescent="0.25">
      <c r="A24" s="71" t="s">
        <v>4</v>
      </c>
      <c r="B24" s="65" t="s">
        <v>2</v>
      </c>
      <c r="C24" s="65" t="s">
        <v>85</v>
      </c>
      <c r="D24" s="28" t="s">
        <v>84</v>
      </c>
      <c r="E24" s="36">
        <f>6000+600</f>
        <v>6600</v>
      </c>
      <c r="F24" s="33" t="s">
        <v>81</v>
      </c>
      <c r="G24" s="27"/>
      <c r="H24" s="36">
        <f>E24</f>
        <v>6600</v>
      </c>
      <c r="I24" s="27"/>
      <c r="J24" s="27"/>
      <c r="K24" s="17"/>
    </row>
    <row r="25" spans="1:11" ht="58.5" x14ac:dyDescent="0.25">
      <c r="A25" s="71" t="s">
        <v>4</v>
      </c>
      <c r="B25" s="65" t="s">
        <v>2</v>
      </c>
      <c r="C25" s="65" t="s">
        <v>85</v>
      </c>
      <c r="D25" s="28" t="s">
        <v>90</v>
      </c>
      <c r="E25" s="37">
        <v>135000</v>
      </c>
      <c r="F25" s="39" t="s">
        <v>86</v>
      </c>
      <c r="G25" s="27"/>
      <c r="H25" s="46"/>
      <c r="I25" s="27"/>
      <c r="J25" s="27"/>
      <c r="K25" s="37">
        <f>E25</f>
        <v>135000</v>
      </c>
    </row>
    <row r="26" spans="1:11" ht="45.75" x14ac:dyDescent="0.25">
      <c r="A26" s="72" t="s">
        <v>5</v>
      </c>
      <c r="B26" s="65" t="s">
        <v>87</v>
      </c>
      <c r="C26" s="65" t="s">
        <v>88</v>
      </c>
      <c r="D26" s="28" t="s">
        <v>97</v>
      </c>
      <c r="E26" s="60">
        <v>84174</v>
      </c>
      <c r="F26" s="33" t="s">
        <v>89</v>
      </c>
      <c r="G26" s="27"/>
      <c r="H26" s="27"/>
      <c r="I26" s="27"/>
      <c r="J26" s="27"/>
      <c r="K26" s="56">
        <f>E26</f>
        <v>84174</v>
      </c>
    </row>
    <row r="27" spans="1:11" ht="34.5" x14ac:dyDescent="0.25">
      <c r="A27" s="72" t="s">
        <v>5</v>
      </c>
      <c r="B27" s="65" t="s">
        <v>87</v>
      </c>
      <c r="C27" s="65" t="s">
        <v>88</v>
      </c>
      <c r="D27" s="28" t="s">
        <v>99</v>
      </c>
      <c r="E27" s="61">
        <v>133000</v>
      </c>
      <c r="F27" s="33" t="s">
        <v>89</v>
      </c>
      <c r="G27" s="27"/>
      <c r="H27" s="27"/>
      <c r="I27" s="27"/>
      <c r="J27" s="27"/>
      <c r="K27" s="56">
        <f>E27</f>
        <v>133000</v>
      </c>
    </row>
    <row r="28" spans="1:11" ht="33.75" x14ac:dyDescent="0.25">
      <c r="A28" s="72" t="s">
        <v>5</v>
      </c>
      <c r="B28" s="65" t="s">
        <v>87</v>
      </c>
      <c r="C28" s="65" t="s">
        <v>88</v>
      </c>
      <c r="D28" s="28" t="s">
        <v>100</v>
      </c>
      <c r="E28" s="60">
        <f>20000-(20000*0.175)</f>
        <v>16500</v>
      </c>
      <c r="F28" s="33" t="s">
        <v>89</v>
      </c>
      <c r="G28" s="27"/>
      <c r="H28" s="27"/>
      <c r="I28" s="56">
        <f>E28</f>
        <v>16500</v>
      </c>
      <c r="J28" s="27"/>
      <c r="K28" s="26"/>
    </row>
    <row r="29" spans="1:11" x14ac:dyDescent="0.25">
      <c r="A29" s="41"/>
      <c r="B29" s="43"/>
      <c r="C29" s="43"/>
      <c r="D29" s="75" t="s">
        <v>114</v>
      </c>
      <c r="E29" s="47">
        <f>SUM(E5:E28)</f>
        <v>1918492.69</v>
      </c>
      <c r="F29" s="41"/>
      <c r="G29"/>
      <c r="H29"/>
      <c r="I29"/>
      <c r="J29"/>
      <c r="K29" s="4"/>
    </row>
    <row r="30" spans="1:11" x14ac:dyDescent="0.25">
      <c r="A30" s="43"/>
      <c r="B30" s="42"/>
      <c r="C30" s="42"/>
      <c r="D30" s="41"/>
      <c r="F30" s="41"/>
      <c r="G30" s="26">
        <f>SUM(G5:G28)</f>
        <v>805892.59</v>
      </c>
      <c r="H30" s="26">
        <f t="shared" ref="H30:K30" si="0">SUM(H5:H28)</f>
        <v>374161</v>
      </c>
      <c r="I30" s="26">
        <f t="shared" si="0"/>
        <v>98110.1</v>
      </c>
      <c r="J30" s="26">
        <f t="shared" si="0"/>
        <v>136385</v>
      </c>
      <c r="K30" s="26">
        <f t="shared" si="0"/>
        <v>503944</v>
      </c>
    </row>
    <row r="31" spans="1:11" x14ac:dyDescent="0.25">
      <c r="B31" s="42"/>
      <c r="C31" s="42"/>
      <c r="D31" s="42"/>
      <c r="G31" s="20" t="s">
        <v>39</v>
      </c>
      <c r="H31" s="20" t="s">
        <v>40</v>
      </c>
      <c r="I31" s="20" t="s">
        <v>41</v>
      </c>
      <c r="J31" s="20" t="s">
        <v>42</v>
      </c>
      <c r="K31" s="57" t="s">
        <v>91</v>
      </c>
    </row>
    <row r="32" spans="1:11" x14ac:dyDescent="0.25">
      <c r="A32" s="70"/>
    </row>
    <row r="33" spans="1:11" ht="24.75" x14ac:dyDescent="0.25">
      <c r="A33" s="72" t="s">
        <v>5</v>
      </c>
      <c r="B33" s="66">
        <f>SUM(G7+I10+G14+H17)+SUM(K26:K28)+I28</f>
        <v>641069.1</v>
      </c>
      <c r="E33" s="59"/>
      <c r="F33" s="75" t="s">
        <v>114</v>
      </c>
      <c r="G33" s="21">
        <f>SUM(G30+H30+I30+J30+K30)</f>
        <v>1918492.69</v>
      </c>
      <c r="H33" s="19"/>
      <c r="I33" s="19"/>
      <c r="J33" s="19"/>
      <c r="K33" s="58"/>
    </row>
    <row r="34" spans="1:11" x14ac:dyDescent="0.25">
      <c r="A34" s="64" t="s">
        <v>62</v>
      </c>
      <c r="B34" s="66">
        <f>SUM(H13+H16)</f>
        <v>187029</v>
      </c>
      <c r="C34" s="76"/>
      <c r="D34" s="69"/>
      <c r="E34" s="59"/>
      <c r="F34" s="106"/>
      <c r="G34" s="99"/>
      <c r="H34" s="19"/>
      <c r="I34" s="19"/>
      <c r="J34" s="19"/>
      <c r="K34" s="58"/>
    </row>
    <row r="35" spans="1:11" x14ac:dyDescent="0.25">
      <c r="A35" s="73" t="s">
        <v>4</v>
      </c>
      <c r="B35" s="66">
        <f>SUM(G5+G6+G8+J9+J11+H12+H15+J18+H19+K21)+(SUM(H22:H24))+K25</f>
        <v>1077747.0899999999</v>
      </c>
      <c r="C35" s="77"/>
      <c r="D35" s="42"/>
      <c r="E35" s="59"/>
      <c r="F35" s="106"/>
      <c r="G35" s="99"/>
      <c r="H35" s="19"/>
      <c r="I35" s="19"/>
      <c r="J35" s="19"/>
      <c r="K35" s="58"/>
    </row>
    <row r="36" spans="1:11" x14ac:dyDescent="0.25">
      <c r="A36" s="74" t="s">
        <v>73</v>
      </c>
      <c r="B36" s="67">
        <f>K20</f>
        <v>12647.5</v>
      </c>
      <c r="E36" s="59"/>
      <c r="F36" s="106"/>
      <c r="G36" s="99"/>
      <c r="H36" s="19"/>
    </row>
    <row r="37" spans="1:11" ht="36.75" x14ac:dyDescent="0.25">
      <c r="A37" s="75" t="s">
        <v>114</v>
      </c>
      <c r="B37" s="68">
        <f>SUM(B33:B36)</f>
        <v>1918492.69</v>
      </c>
      <c r="C37" s="70"/>
      <c r="D37" s="70"/>
      <c r="E37" s="59"/>
      <c r="F37" s="106"/>
      <c r="G37" s="99"/>
      <c r="H37" s="19"/>
      <c r="I37" s="19"/>
      <c r="J37" s="19"/>
      <c r="K37" s="58"/>
    </row>
    <row r="38" spans="1:11" x14ac:dyDescent="0.25">
      <c r="E38" s="59"/>
      <c r="F38" s="106"/>
      <c r="G38" s="99"/>
      <c r="H38" s="19"/>
    </row>
    <row r="39" spans="1:11" x14ac:dyDescent="0.25">
      <c r="E39" s="59"/>
      <c r="F39" s="43"/>
      <c r="G39" s="22"/>
      <c r="H39" s="19"/>
    </row>
    <row r="40" spans="1:11" ht="56.25" x14ac:dyDescent="0.25">
      <c r="E40" s="82" t="s">
        <v>26</v>
      </c>
      <c r="F40" s="98" t="s">
        <v>111</v>
      </c>
      <c r="G40" s="81">
        <v>56112</v>
      </c>
      <c r="H40" s="20" t="s">
        <v>40</v>
      </c>
    </row>
    <row r="41" spans="1:11" x14ac:dyDescent="0.25">
      <c r="E41"/>
      <c r="F41" s="107" t="s">
        <v>115</v>
      </c>
      <c r="G41" s="96">
        <v>56112</v>
      </c>
      <c r="H41"/>
    </row>
    <row r="42" spans="1:11" x14ac:dyDescent="0.25">
      <c r="E42"/>
      <c r="F42" s="62"/>
      <c r="G42"/>
      <c r="H42"/>
    </row>
    <row r="44" spans="1:11" ht="57" x14ac:dyDescent="0.25">
      <c r="E44" s="48" t="s">
        <v>92</v>
      </c>
      <c r="F44" s="49" t="s">
        <v>101</v>
      </c>
      <c r="G44" s="50">
        <v>135000</v>
      </c>
      <c r="H44" s="20" t="s">
        <v>91</v>
      </c>
    </row>
    <row r="45" spans="1:11" ht="57" x14ac:dyDescent="0.25">
      <c r="E45" s="92" t="s">
        <v>92</v>
      </c>
      <c r="F45" s="93" t="s">
        <v>102</v>
      </c>
      <c r="G45" s="94">
        <f>135000/2</f>
        <v>67500</v>
      </c>
      <c r="H45" s="29" t="s">
        <v>91</v>
      </c>
    </row>
    <row r="46" spans="1:11" ht="23.25" x14ac:dyDescent="0.25">
      <c r="E46" s="27"/>
      <c r="F46" s="107" t="s">
        <v>116</v>
      </c>
      <c r="G46" s="95">
        <f>SUM(G44:G45)</f>
        <v>202500</v>
      </c>
      <c r="H46" s="27"/>
    </row>
    <row r="47" spans="1:11" x14ac:dyDescent="0.25">
      <c r="A47"/>
      <c r="E47"/>
      <c r="F47" s="62"/>
      <c r="G47" s="4"/>
      <c r="H47"/>
      <c r="I47"/>
      <c r="J47"/>
      <c r="K47"/>
    </row>
    <row r="48" spans="1:11" x14ac:dyDescent="0.25">
      <c r="A48"/>
      <c r="I48"/>
      <c r="J48"/>
      <c r="K48"/>
    </row>
    <row r="49" spans="5:9" x14ac:dyDescent="0.25">
      <c r="E49" s="52" t="s">
        <v>93</v>
      </c>
      <c r="F49" s="78" t="s">
        <v>98</v>
      </c>
      <c r="G49" s="79">
        <v>17000</v>
      </c>
      <c r="H49" s="20" t="s">
        <v>42</v>
      </c>
    </row>
    <row r="50" spans="5:9" x14ac:dyDescent="0.25">
      <c r="E50" s="52" t="s">
        <v>93</v>
      </c>
      <c r="F50" s="73" t="s">
        <v>95</v>
      </c>
      <c r="G50" s="80">
        <f>80000</f>
        <v>80000</v>
      </c>
      <c r="H50" s="20" t="s">
        <v>42</v>
      </c>
    </row>
    <row r="51" spans="5:9" x14ac:dyDescent="0.25">
      <c r="E51" s="52" t="s">
        <v>93</v>
      </c>
      <c r="F51" s="73" t="s">
        <v>96</v>
      </c>
      <c r="G51" s="80">
        <f>5000</f>
        <v>5000</v>
      </c>
      <c r="H51" s="20" t="s">
        <v>42</v>
      </c>
    </row>
    <row r="52" spans="5:9" ht="57" x14ac:dyDescent="0.25">
      <c r="E52" s="52" t="s">
        <v>93</v>
      </c>
      <c r="F52" s="78" t="s">
        <v>104</v>
      </c>
      <c r="G52" s="79">
        <v>25000</v>
      </c>
      <c r="H52" s="20" t="s">
        <v>41</v>
      </c>
    </row>
    <row r="53" spans="5:9" ht="57" x14ac:dyDescent="0.25">
      <c r="E53" s="52" t="s">
        <v>93</v>
      </c>
      <c r="F53" s="78" t="s">
        <v>104</v>
      </c>
      <c r="G53" s="79">
        <v>71000</v>
      </c>
      <c r="H53" s="20" t="s">
        <v>41</v>
      </c>
    </row>
    <row r="54" spans="5:9" ht="79.5" x14ac:dyDescent="0.25">
      <c r="E54" s="52" t="s">
        <v>93</v>
      </c>
      <c r="F54" s="73" t="s">
        <v>105</v>
      </c>
      <c r="G54" s="80">
        <v>10000</v>
      </c>
      <c r="H54" s="20" t="s">
        <v>42</v>
      </c>
    </row>
    <row r="55" spans="5:9" ht="124.5" x14ac:dyDescent="0.25">
      <c r="E55" s="100" t="s">
        <v>93</v>
      </c>
      <c r="F55" s="101" t="s">
        <v>106</v>
      </c>
      <c r="G55" s="102">
        <v>16000</v>
      </c>
      <c r="H55" s="29" t="s">
        <v>40</v>
      </c>
    </row>
    <row r="56" spans="5:9" ht="23.25" x14ac:dyDescent="0.25">
      <c r="E56" s="27"/>
      <c r="F56" s="107" t="s">
        <v>117</v>
      </c>
      <c r="G56" s="95">
        <f>SUM(G49:G55)</f>
        <v>224000</v>
      </c>
      <c r="H56" s="27"/>
    </row>
    <row r="57" spans="5:9" x14ac:dyDescent="0.25">
      <c r="E57"/>
      <c r="F57" s="62"/>
      <c r="G57"/>
      <c r="H57"/>
    </row>
    <row r="58" spans="5:9" ht="78.75" x14ac:dyDescent="0.25">
      <c r="E58" s="86" t="s">
        <v>107</v>
      </c>
      <c r="F58" s="87" t="s">
        <v>108</v>
      </c>
      <c r="G58" s="88">
        <v>80000</v>
      </c>
      <c r="H58" s="29" t="s">
        <v>40</v>
      </c>
      <c r="I58" s="112" t="s">
        <v>138</v>
      </c>
    </row>
    <row r="59" spans="5:9" ht="23.25" x14ac:dyDescent="0.25">
      <c r="E59" s="97"/>
      <c r="F59" s="107" t="s">
        <v>118</v>
      </c>
      <c r="G59" s="95">
        <f>G58</f>
        <v>80000</v>
      </c>
      <c r="H59" s="27"/>
    </row>
    <row r="60" spans="5:9" x14ac:dyDescent="0.25">
      <c r="E60"/>
      <c r="F60" s="62"/>
      <c r="G60"/>
      <c r="H60"/>
    </row>
    <row r="62" spans="5:9" ht="34.5" x14ac:dyDescent="0.25">
      <c r="E62" s="54" t="s">
        <v>110</v>
      </c>
      <c r="F62" s="53" t="s">
        <v>94</v>
      </c>
      <c r="G62" s="54">
        <v>30000</v>
      </c>
      <c r="H62" s="20" t="s">
        <v>39</v>
      </c>
    </row>
    <row r="63" spans="5:9" ht="45" x14ac:dyDescent="0.25">
      <c r="E63" s="89" t="s">
        <v>110</v>
      </c>
      <c r="F63" s="90" t="s">
        <v>109</v>
      </c>
      <c r="G63" s="91">
        <v>64000</v>
      </c>
      <c r="H63" s="29" t="s">
        <v>39</v>
      </c>
      <c r="I63" s="113" t="s">
        <v>125</v>
      </c>
    </row>
    <row r="64" spans="5:9" ht="23.25" x14ac:dyDescent="0.25">
      <c r="E64" s="27"/>
      <c r="F64" s="107" t="s">
        <v>119</v>
      </c>
      <c r="G64" s="95">
        <f>SUM(G62:G63)</f>
        <v>94000</v>
      </c>
      <c r="H64" s="27"/>
    </row>
    <row r="65" spans="2:8" x14ac:dyDescent="0.25">
      <c r="E65"/>
      <c r="F65" s="62"/>
      <c r="G65"/>
      <c r="H65"/>
    </row>
    <row r="67" spans="2:8" ht="90" x14ac:dyDescent="0.25">
      <c r="E67" s="84" t="s">
        <v>121</v>
      </c>
      <c r="F67" s="71" t="s">
        <v>122</v>
      </c>
      <c r="G67" s="85">
        <v>63000</v>
      </c>
      <c r="H67" s="29" t="s">
        <v>42</v>
      </c>
    </row>
    <row r="68" spans="2:8" ht="56.25" x14ac:dyDescent="0.25">
      <c r="E68" s="103" t="s">
        <v>121</v>
      </c>
      <c r="F68" s="104" t="s">
        <v>123</v>
      </c>
      <c r="G68" s="105">
        <v>45585</v>
      </c>
      <c r="H68" s="29" t="s">
        <v>42</v>
      </c>
    </row>
    <row r="69" spans="2:8" x14ac:dyDescent="0.25">
      <c r="E69" s="83"/>
      <c r="F69" s="107" t="s">
        <v>120</v>
      </c>
      <c r="G69" s="96">
        <f>SUM(G67:G68)</f>
        <v>108585</v>
      </c>
      <c r="H69" s="15"/>
    </row>
    <row r="72" spans="2:8" ht="30" x14ac:dyDescent="0.25">
      <c r="B72" s="109" t="s">
        <v>128</v>
      </c>
      <c r="C72" s="108" t="s">
        <v>126</v>
      </c>
    </row>
    <row r="73" spans="2:8" x14ac:dyDescent="0.25">
      <c r="C73" s="108" t="s">
        <v>127</v>
      </c>
    </row>
    <row r="75" spans="2:8" x14ac:dyDescent="0.25">
      <c r="C75" s="108" t="s">
        <v>129</v>
      </c>
    </row>
    <row r="76" spans="2:8" x14ac:dyDescent="0.25">
      <c r="C76" s="108" t="s">
        <v>130</v>
      </c>
    </row>
    <row r="77" spans="2:8" x14ac:dyDescent="0.25">
      <c r="C77" s="110" t="s">
        <v>131</v>
      </c>
    </row>
    <row r="78" spans="2:8" x14ac:dyDescent="0.25">
      <c r="C78" s="110" t="s">
        <v>132</v>
      </c>
    </row>
    <row r="80" spans="2:8" x14ac:dyDescent="0.25">
      <c r="C80" s="108" t="s">
        <v>133</v>
      </c>
    </row>
    <row r="81" spans="3:3" x14ac:dyDescent="0.25">
      <c r="C81" s="108" t="s">
        <v>134</v>
      </c>
    </row>
    <row r="82" spans="3:3" x14ac:dyDescent="0.25">
      <c r="C82" s="111" t="s">
        <v>135</v>
      </c>
    </row>
    <row r="83" spans="3:3" x14ac:dyDescent="0.25">
      <c r="C83" s="111" t="s">
        <v>136</v>
      </c>
    </row>
    <row r="84" spans="3:3" x14ac:dyDescent="0.25">
      <c r="C84" s="111" t="s">
        <v>137</v>
      </c>
    </row>
  </sheetData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ALCC BUDGET X PARTNER CAT</vt:lpstr>
      <vt:lpstr>WMI-ALCC BUDGET X CATEGORY</vt:lpstr>
      <vt:lpstr>LCC-NetworkCategories</vt:lpstr>
      <vt:lpstr>AppLCCCategories</vt:lpstr>
      <vt:lpstr>AppLCC DATA</vt:lpstr>
      <vt:lpstr>'AppLCC DATA'!Print_Area</vt:lpstr>
    </vt:vector>
  </TitlesOfParts>
  <Company>WMI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 WILLIAMSON</dc:creator>
  <cp:lastModifiedBy>Owner</cp:lastModifiedBy>
  <cp:lastPrinted>2014-09-19T15:13:47Z</cp:lastPrinted>
  <dcterms:created xsi:type="dcterms:W3CDTF">2012-02-14T20:41:57Z</dcterms:created>
  <dcterms:modified xsi:type="dcterms:W3CDTF">2014-10-07T19:14:36Z</dcterms:modified>
</cp:coreProperties>
</file>